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'стр.1'!$A$1:$V$62</definedName>
  </definedNames>
  <calcPr fullCalcOnLoad="1"/>
</workbook>
</file>

<file path=xl/sharedStrings.xml><?xml version="1.0" encoding="utf-8"?>
<sst xmlns="http://schemas.openxmlformats.org/spreadsheetml/2006/main" count="262" uniqueCount="130">
  <si>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</si>
  <si>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</si>
  <si>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</si>
  <si>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</si>
  <si>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</si>
  <si>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</si>
  <si>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</si>
  <si>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</si>
  <si>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</si>
  <si>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</si>
  <si>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</si>
  <si>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</si>
  <si>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</si>
  <si>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</si>
  <si>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</si>
  <si>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</si>
  <si>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</si>
  <si>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</si>
  <si>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</si>
  <si>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</si>
  <si>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 xml:space="preserve"> года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</si>
  <si>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</si>
  <si>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в базисном уровне цен</t>
  </si>
  <si>
    <t>в прогнозных ценах соответствующих лет</t>
  </si>
  <si>
    <t>Остаток освоения капитальных вложений на конец отчетного периода, млн. рублей
(без НДС)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</si>
  <si>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</si>
  <si>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</si>
  <si>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</si>
  <si>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млн. рублей
(без НДС)</t>
  </si>
  <si>
    <t>%</t>
  </si>
  <si>
    <t xml:space="preserve"> квартал</t>
  </si>
  <si>
    <t>2019</t>
  </si>
  <si>
    <t>Акционерное общество "Тульские городские электрические сети"</t>
  </si>
  <si>
    <t>Фактический объем освоения капитальных вложений на 01.01.2019 года в прогнозных ценах соответствующих лет, млн. рублей
(без НДС)</t>
  </si>
  <si>
    <t>Остаток освоения капитальных вложений на 01.01.2019 года, млн. рублей
(без НДС)</t>
  </si>
  <si>
    <t>Освоение капитальных вложений 2019 года, млн. рублей (без НДС)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</si>
  <si>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</si>
  <si>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</si>
  <si>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</si>
  <si>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</si>
  <si>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</si>
  <si>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</si>
  <si>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</si>
  <si>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</si>
  <si>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</si>
  <si>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1.1.1.5</t>
  </si>
  <si>
    <t>Замена камер КСО, установка их в существующее здание РП 75</t>
  </si>
  <si>
    <t>1.1.1.6</t>
  </si>
  <si>
    <t>Замена камер КСО, установка их в существующее здание ТП 725</t>
  </si>
  <si>
    <t>1.1.2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</si>
  <si>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</si>
  <si>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</si>
  <si>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1.1.2.11</t>
  </si>
  <si>
    <t>Замена электрооборудования в РУ-0,4кВ ЩСР-1 на ЩО-70 в ТП 236</t>
  </si>
  <si>
    <t>1.1.2.21</t>
  </si>
  <si>
    <t>Замена  вводных ячеек РУ-0,4 кВ на ячейки ЩО-70-3А-22У3 с автоматическими выключателями ВА 55-43 1600А в РП 71</t>
  </si>
  <si>
    <t>1.1.2.22</t>
  </si>
  <si>
    <t>Замена  вводных ячеек РУ-0,4 кВ на ячейки ЩО-70-3А-22У3 с автоматическими выключателями ВА 55-43 1600А в РП 35</t>
  </si>
  <si>
    <t>1.1.2.23</t>
  </si>
  <si>
    <t>Замена  вводных ячеек РУ-0,4 кВ на ячейки ЩО-70-3А-22У3 с автоматическими выключателями ВА 55-43 1600А в ТП 507</t>
  </si>
  <si>
    <t>1.1.2.24</t>
  </si>
  <si>
    <t>1.1.3</t>
  </si>
  <si>
    <t>Реконструкция линий электропередачи, всего, в том числе:</t>
  </si>
  <si>
    <t>G_14</t>
  </si>
  <si>
    <t>1.1.3.9</t>
  </si>
  <si>
    <t>Прокладка кабельной линии 6-10кВ ТП 638 - ТП 849</t>
  </si>
  <si>
    <t>1.1.3.13</t>
  </si>
  <si>
    <t>Прокладка кабельной линии 6-10кВ РП 64 - ТП 279</t>
  </si>
  <si>
    <t>1.1.3.18</t>
  </si>
  <si>
    <t>Прокладка кабельной линии 6-10кВ ПС 64 - ТП 589 ф. 12А, каб. 1</t>
  </si>
  <si>
    <t>1.1.3.19</t>
  </si>
  <si>
    <t>Прокладка кабельной линии 6-10кВ ПС 64 - ТП 589 ф. 12А, каб. 2</t>
  </si>
  <si>
    <t>1.1.3.20</t>
  </si>
  <si>
    <t>Прокладка кабельной линии 6-10кВ ПС 64 - РП 53 ф. 40Б, каб. 1</t>
  </si>
  <si>
    <t>1.1.3.21</t>
  </si>
  <si>
    <t>Прокладка кабельной линии 6-10кВ ПС 64 - РП 53 ф. 40Б, каб. 2</t>
  </si>
  <si>
    <t>1.1.3.25</t>
  </si>
  <si>
    <t>Прокладка кабельной линии 6-10кВ ПС 145 - РП 35 ф. 3</t>
  </si>
  <si>
    <t>1.1.4</t>
  </si>
  <si>
    <t>Модернизация, техническое перевооружение линий электропередачи, всего, в том числе:</t>
  </si>
  <si>
    <t>G_15</t>
  </si>
  <si>
    <t>1.1.4.1</t>
  </si>
  <si>
    <t>Прокладка КЛ-6кВ взамен ВЛ-6кВ    ПС 17 - РП 65 ф. 26Б</t>
  </si>
  <si>
    <t>1.1.4.9</t>
  </si>
  <si>
    <t>Прокладка ВЛ-6кВ взамен существующей ВЛ-6кВ, не подлежащей эксплуатации РП 47 - ТП 559 отпайка на РП 76</t>
  </si>
  <si>
    <t>1.2</t>
  </si>
  <si>
    <t>Создание систем противоаварийной и режимной автоматики</t>
  </si>
  <si>
    <t>G_24</t>
  </si>
  <si>
    <t>1.2.4</t>
  </si>
  <si>
    <t>Монтаж комплекта телемеханики в РП 67</t>
  </si>
  <si>
    <t>1.2.5</t>
  </si>
  <si>
    <t>Монтаж комплекта телемеханики в РП 59</t>
  </si>
  <si>
    <t>1.2.6</t>
  </si>
  <si>
    <t>Монтаж комплекта телемеханики в РП 35</t>
  </si>
  <si>
    <t>1.2.7</t>
  </si>
  <si>
    <t>Монтаж комплекта телемеханики в ТП 580</t>
  </si>
  <si>
    <t>1.2.8</t>
  </si>
  <si>
    <t>Монтаж комплекта телемеханики в РП 16</t>
  </si>
  <si>
    <t>1.3</t>
  </si>
  <si>
    <t>Создание систем телемеханики и связи</t>
  </si>
  <si>
    <t>G_16</t>
  </si>
  <si>
    <t>1.3.1</t>
  </si>
  <si>
    <t>Установка приборов учета, класс напряжения 0,22 (0,4) кВ, всего, в том числе:</t>
  </si>
  <si>
    <t>G_17</t>
  </si>
  <si>
    <t>1.3.1.1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</si>
  <si>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</si>
  <si>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2</t>
  </si>
  <si>
    <t>Новое строительство</t>
  </si>
  <si>
    <t>2.2</t>
  </si>
  <si>
    <t>Прочее новое строительство</t>
  </si>
  <si>
    <t>G_22</t>
  </si>
  <si>
    <t>2.2.1</t>
  </si>
  <si>
    <t>Технологическое присоединение, всего:</t>
  </si>
  <si>
    <t>G_08</t>
  </si>
  <si>
    <t>3</t>
  </si>
  <si>
    <t>Прочее</t>
  </si>
  <si>
    <t>3.2</t>
  </si>
  <si>
    <t>Приобретение машин и механизмов</t>
  </si>
  <si>
    <t>G_01</t>
  </si>
  <si>
    <t>-</t>
  </si>
  <si>
    <t>Замена  вводных ячеек РУ-0,4 кВ на ячейки ЩО-70-3А-22У3 с автоматическими выключателями ВА 55-43 1600А в ТП 554</t>
  </si>
  <si>
    <t>Распоряжением Правительства Тульской области №458-р от 24.07.2018</t>
  </si>
  <si>
    <t>Утверждаю
Директор по финансам и экономике АО "ТГЭС"</t>
  </si>
  <si>
    <t>Л.В.Грашина</t>
  </si>
  <si>
    <t>(подпись)</t>
  </si>
  <si>
    <t>М.П.</t>
  </si>
  <si>
    <t>III</t>
  </si>
  <si>
    <t xml:space="preserve"> 11.11.2019 года</t>
  </si>
  <si>
    <t>*Согласно Приказу Министерства энергетики РФ от 25 апреля 2018 г. № 320 «показатели в базисном уровне цен заполняются, если соответствующий бухгалтерский учет предусмотрен учетной политикой организации».</t>
  </si>
  <si>
    <t>нд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</si>
</sst>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176" fontId="8" fillId="0" borderId="14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left" vertical="center" wrapText="1"/>
      <protection/>
    </xf>
    <xf numFmtId="0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8" fillId="0" borderId="24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SheetLayoutView="100" zoomScalePageLayoutView="0" workbookViewId="0" topLeftCell="A1">
      <selection activeCell="H19" sqref="H19:Q19"/>
    </sheetView>
  </sheetViews>
  <sheetFormatPr defaultColWidth="9.00390625" defaultRowHeight="12.75"/>
  <cols>
    <col min="1" max="1" width="7.125" style="1" customWidth="1"/>
    <col min="2" max="2" width="22.875" style="1" customWidth="1"/>
    <col min="3" max="3" width="12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375" style="1" customWidth="1"/>
    <col min="22" max="22" width="15.00390625" style="1" customWidth="1"/>
    <col min="23" max="16384" width="9.125" style="1" customWidth="1"/>
  </cols>
  <sheetData>
    <row r="1" s="3" customFormat="1" ht="12">
      <c r="V1" s="4" t="s">
        <v>25</v>
      </c>
    </row>
    <row r="2" spans="20:22" s="3" customFormat="1" ht="24" customHeight="1">
      <c r="T2" s="75" t="s">
        <v>4</v>
      </c>
      <c r="U2" s="75"/>
      <c r="V2" s="75"/>
    </row>
    <row r="3" spans="1:22" s="3" customFormat="1" ht="12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7:13" s="3" customFormat="1" ht="12.75">
      <c r="G4" s="10" t="s">
        <v>19</v>
      </c>
      <c r="H4" s="65" t="s">
        <v>126</v>
      </c>
      <c r="I4" s="65"/>
      <c r="J4" s="11" t="s">
        <v>30</v>
      </c>
      <c r="K4" s="65" t="s">
        <v>31</v>
      </c>
      <c r="L4" s="65"/>
      <c r="M4" s="11" t="s">
        <v>20</v>
      </c>
    </row>
    <row r="5" ht="11.25" customHeight="1"/>
    <row r="6" spans="6:17" s="3" customFormat="1" ht="12">
      <c r="F6" s="4" t="s">
        <v>5</v>
      </c>
      <c r="G6" s="82" t="s">
        <v>32</v>
      </c>
      <c r="H6" s="82"/>
      <c r="I6" s="82"/>
      <c r="J6" s="82"/>
      <c r="K6" s="82"/>
      <c r="L6" s="82"/>
      <c r="M6" s="82"/>
      <c r="N6" s="82"/>
      <c r="O6" s="82"/>
      <c r="P6" s="82"/>
      <c r="Q6" s="9"/>
    </row>
    <row r="7" spans="7:17" s="2" customFormat="1" ht="12.75" customHeight="1">
      <c r="G7" s="80" t="s">
        <v>6</v>
      </c>
      <c r="H7" s="80"/>
      <c r="I7" s="80"/>
      <c r="J7" s="80"/>
      <c r="K7" s="80"/>
      <c r="L7" s="80"/>
      <c r="M7" s="80"/>
      <c r="N7" s="80"/>
      <c r="O7" s="80"/>
      <c r="P7" s="80"/>
      <c r="Q7" s="5"/>
    </row>
    <row r="8" ht="11.25" customHeight="1"/>
    <row r="9" spans="9:11" s="3" customFormat="1" ht="12">
      <c r="I9" s="4" t="s">
        <v>7</v>
      </c>
      <c r="J9" s="12" t="s">
        <v>31</v>
      </c>
      <c r="K9" s="3" t="s">
        <v>8</v>
      </c>
    </row>
    <row r="10" ht="11.25" customHeight="1"/>
    <row r="11" spans="7:17" s="3" customFormat="1" ht="12">
      <c r="G11" s="4" t="s">
        <v>9</v>
      </c>
      <c r="H11" s="84" t="s">
        <v>121</v>
      </c>
      <c r="I11" s="84"/>
      <c r="J11" s="84"/>
      <c r="K11" s="84"/>
      <c r="L11" s="84"/>
      <c r="M11" s="84"/>
      <c r="N11" s="84"/>
      <c r="O11" s="84"/>
      <c r="P11" s="84"/>
      <c r="Q11" s="84"/>
    </row>
    <row r="12" spans="8:17" s="2" customFormat="1" ht="12.75" customHeight="1">
      <c r="H12" s="80" t="s">
        <v>10</v>
      </c>
      <c r="I12" s="80"/>
      <c r="J12" s="80"/>
      <c r="K12" s="80"/>
      <c r="L12" s="80"/>
      <c r="M12" s="80"/>
      <c r="N12" s="80"/>
      <c r="O12" s="80"/>
      <c r="P12" s="80"/>
      <c r="Q12" s="80"/>
    </row>
    <row r="13" spans="8:22" s="2" customFormat="1" ht="24.75" customHeight="1">
      <c r="H13" s="5"/>
      <c r="I13" s="5"/>
      <c r="J13" s="5"/>
      <c r="K13" s="5"/>
      <c r="L13" s="5"/>
      <c r="M13" s="5"/>
      <c r="N13" s="5"/>
      <c r="O13" s="5"/>
      <c r="P13" s="5"/>
      <c r="Q13" s="48"/>
      <c r="R13" s="69" t="s">
        <v>122</v>
      </c>
      <c r="S13" s="69"/>
      <c r="T13" s="69"/>
      <c r="U13" s="69"/>
      <c r="V13" s="69"/>
    </row>
    <row r="14" spans="8:22" s="2" customFormat="1" ht="12.75" customHeight="1">
      <c r="H14" s="5"/>
      <c r="I14" s="5"/>
      <c r="J14" s="5"/>
      <c r="K14" s="5"/>
      <c r="L14" s="5"/>
      <c r="M14" s="5"/>
      <c r="N14" s="5"/>
      <c r="O14" s="5"/>
      <c r="P14" s="5"/>
      <c r="R14" s="49"/>
      <c r="S14" s="50"/>
      <c r="T14" s="70" t="s">
        <v>123</v>
      </c>
      <c r="U14" s="70"/>
      <c r="V14" s="70"/>
    </row>
    <row r="15" spans="8:20" s="2" customFormat="1" ht="11.25">
      <c r="H15" s="53"/>
      <c r="I15" s="5"/>
      <c r="J15" s="53"/>
      <c r="K15" s="5"/>
      <c r="L15" s="5"/>
      <c r="M15" s="5"/>
      <c r="N15" s="5"/>
      <c r="O15" s="5"/>
      <c r="P15" s="5"/>
      <c r="S15" s="50"/>
      <c r="T15" s="51"/>
    </row>
    <row r="16" spans="8:20" s="2" customFormat="1" ht="12" customHeight="1">
      <c r="H16" s="5"/>
      <c r="I16" s="53"/>
      <c r="J16" s="5"/>
      <c r="K16" s="5"/>
      <c r="L16" s="5"/>
      <c r="M16" s="5"/>
      <c r="N16" s="5"/>
      <c r="O16" s="5"/>
      <c r="P16" s="5"/>
      <c r="T16" s="52" t="s">
        <v>124</v>
      </c>
    </row>
    <row r="17" spans="8:20" s="2" customFormat="1" ht="11.25" customHeight="1">
      <c r="H17" s="5"/>
      <c r="I17" s="5"/>
      <c r="J17" s="5"/>
      <c r="K17" s="5"/>
      <c r="L17" s="5"/>
      <c r="M17" s="5"/>
      <c r="N17" s="5"/>
      <c r="O17" s="5"/>
      <c r="P17" s="5"/>
      <c r="R17" s="79" t="s">
        <v>127</v>
      </c>
      <c r="S17" s="79"/>
      <c r="T17" s="79"/>
    </row>
    <row r="18" spans="8:20" s="2" customFormat="1" ht="12.75" customHeight="1">
      <c r="H18" s="5"/>
      <c r="I18" s="5"/>
      <c r="J18" s="5"/>
      <c r="K18" s="5"/>
      <c r="L18" s="5"/>
      <c r="M18" s="5"/>
      <c r="N18" s="5"/>
      <c r="O18" s="5"/>
      <c r="P18" s="5"/>
      <c r="T18" s="49" t="s">
        <v>125</v>
      </c>
    </row>
    <row r="19" spans="1:22" s="2" customFormat="1" ht="75.75" customHeight="1">
      <c r="A19" s="66" t="s">
        <v>11</v>
      </c>
      <c r="B19" s="66" t="s">
        <v>12</v>
      </c>
      <c r="C19" s="66" t="s">
        <v>13</v>
      </c>
      <c r="D19" s="66" t="s">
        <v>21</v>
      </c>
      <c r="E19" s="66" t="s">
        <v>33</v>
      </c>
      <c r="F19" s="63" t="s">
        <v>34</v>
      </c>
      <c r="G19" s="64"/>
      <c r="H19" s="63" t="s">
        <v>35</v>
      </c>
      <c r="I19" s="78"/>
      <c r="J19" s="78"/>
      <c r="K19" s="78"/>
      <c r="L19" s="78"/>
      <c r="M19" s="78"/>
      <c r="N19" s="78"/>
      <c r="O19" s="78"/>
      <c r="P19" s="78"/>
      <c r="Q19" s="64"/>
      <c r="R19" s="63" t="s">
        <v>24</v>
      </c>
      <c r="S19" s="64"/>
      <c r="T19" s="85" t="s">
        <v>27</v>
      </c>
      <c r="U19" s="86"/>
      <c r="V19" s="66" t="s">
        <v>2</v>
      </c>
    </row>
    <row r="20" spans="1:22" s="2" customFormat="1" ht="15" customHeight="1">
      <c r="A20" s="67"/>
      <c r="B20" s="67"/>
      <c r="C20" s="67"/>
      <c r="D20" s="67"/>
      <c r="E20" s="67"/>
      <c r="F20" s="73" t="s">
        <v>22</v>
      </c>
      <c r="G20" s="73" t="s">
        <v>23</v>
      </c>
      <c r="H20" s="63" t="s">
        <v>14</v>
      </c>
      <c r="I20" s="64"/>
      <c r="J20" s="63" t="s">
        <v>15</v>
      </c>
      <c r="K20" s="64"/>
      <c r="L20" s="63" t="s">
        <v>16</v>
      </c>
      <c r="M20" s="64"/>
      <c r="N20" s="63" t="s">
        <v>17</v>
      </c>
      <c r="O20" s="64"/>
      <c r="P20" s="63" t="s">
        <v>18</v>
      </c>
      <c r="Q20" s="64"/>
      <c r="R20" s="76" t="s">
        <v>22</v>
      </c>
      <c r="S20" s="73" t="s">
        <v>23</v>
      </c>
      <c r="T20" s="83"/>
      <c r="U20" s="87"/>
      <c r="V20" s="67"/>
    </row>
    <row r="21" spans="1:22" s="2" customFormat="1" ht="78" customHeight="1">
      <c r="A21" s="68"/>
      <c r="B21" s="68"/>
      <c r="C21" s="68"/>
      <c r="D21" s="68"/>
      <c r="E21" s="83"/>
      <c r="F21" s="74"/>
      <c r="G21" s="74"/>
      <c r="H21" s="6" t="s">
        <v>0</v>
      </c>
      <c r="I21" s="6" t="s">
        <v>1</v>
      </c>
      <c r="J21" s="6" t="s">
        <v>0</v>
      </c>
      <c r="K21" s="6" t="s">
        <v>1</v>
      </c>
      <c r="L21" s="6" t="s">
        <v>0</v>
      </c>
      <c r="M21" s="6" t="s">
        <v>1</v>
      </c>
      <c r="N21" s="6" t="s">
        <v>0</v>
      </c>
      <c r="O21" s="6" t="s">
        <v>1</v>
      </c>
      <c r="P21" s="6" t="s">
        <v>0</v>
      </c>
      <c r="Q21" s="6" t="s">
        <v>1</v>
      </c>
      <c r="R21" s="77"/>
      <c r="S21" s="74"/>
      <c r="T21" s="7" t="s">
        <v>28</v>
      </c>
      <c r="U21" s="7" t="s">
        <v>29</v>
      </c>
      <c r="V21" s="68"/>
    </row>
    <row r="22" spans="1:22" s="2" customFormat="1" ht="11.2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45">
        <v>18</v>
      </c>
      <c r="S22" s="45">
        <v>19</v>
      </c>
      <c r="T22" s="8">
        <v>20</v>
      </c>
      <c r="U22" s="8">
        <v>21</v>
      </c>
      <c r="V22" s="8">
        <v>22</v>
      </c>
    </row>
    <row r="23" spans="1:22" s="34" customFormat="1" ht="12">
      <c r="A23" s="71" t="s">
        <v>3</v>
      </c>
      <c r="B23" s="72"/>
      <c r="C23" s="17" t="s">
        <v>118</v>
      </c>
      <c r="D23" s="32" t="s">
        <v>119</v>
      </c>
      <c r="E23" s="30">
        <f>E59+E56+E24</f>
        <v>0</v>
      </c>
      <c r="F23" s="42" t="s">
        <v>119</v>
      </c>
      <c r="G23" s="42" t="s">
        <v>119</v>
      </c>
      <c r="H23" s="39">
        <f>H59+H56+H24</f>
        <v>290.32500000000005</v>
      </c>
      <c r="I23" s="30">
        <f>K23+M23+O23+Q23</f>
        <v>244.5330363333333</v>
      </c>
      <c r="J23" s="33">
        <f aca="true" t="shared" si="0" ref="J23:Q23">J59+J56+J24</f>
        <v>108.31083333333333</v>
      </c>
      <c r="K23" s="33">
        <f t="shared" si="0"/>
        <v>38.983333333333334</v>
      </c>
      <c r="L23" s="30">
        <f t="shared" si="0"/>
        <v>57.795</v>
      </c>
      <c r="M23" s="30">
        <f t="shared" si="0"/>
        <v>16.471703</v>
      </c>
      <c r="N23" s="30">
        <f t="shared" si="0"/>
        <v>78.81916666666666</v>
      </c>
      <c r="O23" s="30">
        <f t="shared" si="0"/>
        <v>189.07799999999997</v>
      </c>
      <c r="P23" s="30">
        <f t="shared" si="0"/>
        <v>45.400000000000006</v>
      </c>
      <c r="Q23" s="30">
        <f t="shared" si="0"/>
        <v>0</v>
      </c>
      <c r="R23" s="46" t="s">
        <v>119</v>
      </c>
      <c r="S23" s="46" t="s">
        <v>119</v>
      </c>
      <c r="T23" s="33" t="s">
        <v>119</v>
      </c>
      <c r="U23" s="33" t="s">
        <v>119</v>
      </c>
      <c r="V23" s="32"/>
    </row>
    <row r="24" spans="1:22" s="34" customFormat="1" ht="31.5">
      <c r="A24" s="13" t="s">
        <v>36</v>
      </c>
      <c r="B24" s="14" t="s">
        <v>37</v>
      </c>
      <c r="C24" s="17"/>
      <c r="D24" s="40">
        <v>28.92591350575928</v>
      </c>
      <c r="E24" s="28">
        <f>E25+E47+E53</f>
        <v>0</v>
      </c>
      <c r="F24" s="47" t="s">
        <v>129</v>
      </c>
      <c r="G24" s="42">
        <v>145.06833333333333</v>
      </c>
      <c r="H24" s="35">
        <f>H25+H47+H53</f>
        <v>145.06833333333333</v>
      </c>
      <c r="I24" s="30">
        <f aca="true" t="shared" si="1" ref="I24:I60">K24+M24+O24+Q24</f>
        <v>182.30127799999997</v>
      </c>
      <c r="J24" s="33">
        <f>J25+J47+J53</f>
        <v>69.3275</v>
      </c>
      <c r="K24" s="33">
        <f>K25+K47+K53</f>
        <v>0</v>
      </c>
      <c r="L24" s="28">
        <f aca="true" t="shared" si="2" ref="L24:Q24">L25+L47+L53</f>
        <v>34.06166666666667</v>
      </c>
      <c r="M24" s="28">
        <f t="shared" si="2"/>
        <v>2.026278</v>
      </c>
      <c r="N24" s="28">
        <f>N25+N47+N53</f>
        <v>37.03583333333333</v>
      </c>
      <c r="O24" s="28">
        <f>O25+O47+O53</f>
        <v>180.27499999999998</v>
      </c>
      <c r="P24" s="28">
        <f t="shared" si="2"/>
        <v>4.6433333333333335</v>
      </c>
      <c r="Q24" s="28">
        <f t="shared" si="2"/>
        <v>0</v>
      </c>
      <c r="R24" s="47" t="s">
        <v>129</v>
      </c>
      <c r="S24" s="46">
        <v>75.74083333333333</v>
      </c>
      <c r="T24" s="33">
        <f>N24-O24</f>
        <v>-143.23916666666665</v>
      </c>
      <c r="U24" s="33" t="s">
        <v>119</v>
      </c>
      <c r="V24" s="44"/>
    </row>
    <row r="25" spans="1:22" s="34" customFormat="1" ht="31.5">
      <c r="A25" s="13" t="s">
        <v>38</v>
      </c>
      <c r="B25" s="14" t="s">
        <v>39</v>
      </c>
      <c r="C25" s="17"/>
      <c r="D25" s="40">
        <v>6.003457220688043</v>
      </c>
      <c r="E25" s="28">
        <f>E26+E30+E36+E44</f>
        <v>0</v>
      </c>
      <c r="F25" s="47" t="s">
        <v>129</v>
      </c>
      <c r="G25" s="42">
        <v>38.1625</v>
      </c>
      <c r="H25" s="35">
        <f>H26+H30+H36+H44</f>
        <v>38.1625</v>
      </c>
      <c r="I25" s="30">
        <f t="shared" si="1"/>
        <v>74.498278</v>
      </c>
      <c r="J25" s="33">
        <f aca="true" t="shared" si="3" ref="J25:Q25">J26+J30+J36+J44</f>
        <v>0</v>
      </c>
      <c r="K25" s="33">
        <f t="shared" si="3"/>
        <v>0</v>
      </c>
      <c r="L25" s="28">
        <f t="shared" si="3"/>
        <v>0</v>
      </c>
      <c r="M25" s="28">
        <f t="shared" si="3"/>
        <v>2.026278</v>
      </c>
      <c r="N25" s="40">
        <f t="shared" si="3"/>
        <v>33.51916666666666</v>
      </c>
      <c r="O25" s="28">
        <f t="shared" si="3"/>
        <v>72.472</v>
      </c>
      <c r="P25" s="28">
        <f t="shared" si="3"/>
        <v>4.6433333333333335</v>
      </c>
      <c r="Q25" s="28">
        <f t="shared" si="3"/>
        <v>0</v>
      </c>
      <c r="R25" s="47" t="s">
        <v>129</v>
      </c>
      <c r="S25" s="46">
        <v>38.1625</v>
      </c>
      <c r="T25" s="33">
        <f aca="true" t="shared" si="4" ref="T25:T60">N25-O25</f>
        <v>-38.95283333333333</v>
      </c>
      <c r="U25" s="33" t="s">
        <v>119</v>
      </c>
      <c r="V25" s="44"/>
    </row>
    <row r="26" spans="1:22" s="34" customFormat="1" ht="42">
      <c r="A26" s="13" t="s">
        <v>40</v>
      </c>
      <c r="B26" s="16" t="s">
        <v>41</v>
      </c>
      <c r="C26" s="17" t="s">
        <v>42</v>
      </c>
      <c r="D26" s="40">
        <v>2.0035211267605635</v>
      </c>
      <c r="E26" s="28">
        <f>E27+E28+E29</f>
        <v>0</v>
      </c>
      <c r="F26" s="47" t="s">
        <v>129</v>
      </c>
      <c r="G26" s="42">
        <v>14.225000000000001</v>
      </c>
      <c r="H26" s="35">
        <f>H27+H28+H29</f>
        <v>14.225000000000001</v>
      </c>
      <c r="I26" s="30">
        <f t="shared" si="1"/>
        <v>21.242485000000002</v>
      </c>
      <c r="J26" s="33">
        <f>SUM(J27:J29)</f>
        <v>0</v>
      </c>
      <c r="K26" s="33">
        <f>SUM(K27:K29)</f>
        <v>0</v>
      </c>
      <c r="L26" s="28">
        <f>SUM(L27:L29)</f>
        <v>0</v>
      </c>
      <c r="M26" s="28">
        <f>M27+M28+M29</f>
        <v>1.546485</v>
      </c>
      <c r="N26" s="40">
        <f>N27+N28+N29</f>
        <v>9.581666666666667</v>
      </c>
      <c r="O26" s="28">
        <f>O27+O28+O29</f>
        <v>19.696</v>
      </c>
      <c r="P26" s="28">
        <f>SUM(P27:P29)</f>
        <v>4.6433333333333335</v>
      </c>
      <c r="Q26" s="28">
        <f>Q27+Q28+Q29</f>
        <v>0</v>
      </c>
      <c r="R26" s="47" t="s">
        <v>129</v>
      </c>
      <c r="S26" s="46">
        <v>14.225000000000001</v>
      </c>
      <c r="T26" s="33">
        <f t="shared" si="4"/>
        <v>-10.114333333333335</v>
      </c>
      <c r="U26" s="33" t="s">
        <v>119</v>
      </c>
      <c r="V26" s="44"/>
    </row>
    <row r="27" spans="1:22" s="2" customFormat="1" ht="22.5">
      <c r="A27" s="18" t="s">
        <v>43</v>
      </c>
      <c r="B27" s="19" t="s">
        <v>44</v>
      </c>
      <c r="C27" s="15"/>
      <c r="D27" s="41">
        <v>0.24237089201877937</v>
      </c>
      <c r="E27" s="29">
        <v>0</v>
      </c>
      <c r="F27" s="47" t="s">
        <v>129</v>
      </c>
      <c r="G27" s="43">
        <v>1.7208333333333334</v>
      </c>
      <c r="H27" s="36">
        <f>J27+L27+N27+P27</f>
        <v>1.7208333333333334</v>
      </c>
      <c r="I27" s="29">
        <f t="shared" si="1"/>
        <v>1.546485</v>
      </c>
      <c r="J27" s="31">
        <v>0</v>
      </c>
      <c r="K27" s="31">
        <v>0</v>
      </c>
      <c r="L27" s="29">
        <v>0</v>
      </c>
      <c r="M27" s="29">
        <v>1.546485</v>
      </c>
      <c r="N27" s="29">
        <f>2.065/1.2</f>
        <v>1.7208333333333334</v>
      </c>
      <c r="O27" s="29">
        <v>0</v>
      </c>
      <c r="P27" s="29">
        <v>0</v>
      </c>
      <c r="Q27" s="29">
        <v>0</v>
      </c>
      <c r="R27" s="47" t="s">
        <v>129</v>
      </c>
      <c r="S27" s="47">
        <f>G27-M27</f>
        <v>0.17434833333333333</v>
      </c>
      <c r="T27" s="33">
        <f t="shared" si="4"/>
        <v>1.7208333333333334</v>
      </c>
      <c r="U27" s="31" t="s">
        <v>119</v>
      </c>
      <c r="V27" s="44"/>
    </row>
    <row r="28" spans="1:22" s="2" customFormat="1" ht="33.75">
      <c r="A28" s="18" t="s">
        <v>45</v>
      </c>
      <c r="B28" s="20" t="s">
        <v>46</v>
      </c>
      <c r="C28" s="15"/>
      <c r="D28" s="41">
        <v>1.1071596244131456</v>
      </c>
      <c r="E28" s="29">
        <v>0</v>
      </c>
      <c r="F28" s="47" t="s">
        <v>129</v>
      </c>
      <c r="G28" s="43">
        <v>7.860833333333334</v>
      </c>
      <c r="H28" s="36">
        <f>J28+L28+N28+P28</f>
        <v>7.860833333333334</v>
      </c>
      <c r="I28" s="29">
        <f t="shared" si="1"/>
        <v>19.696</v>
      </c>
      <c r="J28" s="31">
        <v>0</v>
      </c>
      <c r="K28" s="31">
        <v>0</v>
      </c>
      <c r="L28" s="29">
        <v>0</v>
      </c>
      <c r="M28" s="29">
        <v>0</v>
      </c>
      <c r="N28" s="29">
        <f>9.433/1.2</f>
        <v>7.860833333333334</v>
      </c>
      <c r="O28" s="29">
        <v>19.696</v>
      </c>
      <c r="P28" s="29">
        <v>0</v>
      </c>
      <c r="Q28" s="29">
        <v>0</v>
      </c>
      <c r="R28" s="47" t="s">
        <v>129</v>
      </c>
      <c r="S28" s="47">
        <v>7.860833333333334</v>
      </c>
      <c r="T28" s="33">
        <f t="shared" si="4"/>
        <v>-11.835166666666668</v>
      </c>
      <c r="U28" s="31" t="s">
        <v>119</v>
      </c>
      <c r="V28" s="44"/>
    </row>
    <row r="29" spans="1:22" s="2" customFormat="1" ht="33.75">
      <c r="A29" s="18" t="s">
        <v>47</v>
      </c>
      <c r="B29" s="20" t="s">
        <v>48</v>
      </c>
      <c r="C29" s="15"/>
      <c r="D29" s="41">
        <v>0.6539906103286386</v>
      </c>
      <c r="E29" s="29">
        <v>0</v>
      </c>
      <c r="F29" s="47" t="s">
        <v>129</v>
      </c>
      <c r="G29" s="43">
        <v>4.6433333333333335</v>
      </c>
      <c r="H29" s="36">
        <f>J29+L29+N29+P29</f>
        <v>4.6433333333333335</v>
      </c>
      <c r="I29" s="29">
        <f t="shared" si="1"/>
        <v>0</v>
      </c>
      <c r="J29" s="31">
        <v>0</v>
      </c>
      <c r="K29" s="31">
        <v>0</v>
      </c>
      <c r="L29" s="29">
        <v>0</v>
      </c>
      <c r="M29" s="29">
        <v>0</v>
      </c>
      <c r="N29" s="29">
        <v>0</v>
      </c>
      <c r="O29" s="29">
        <v>0</v>
      </c>
      <c r="P29" s="29">
        <f>5.572/1.2</f>
        <v>4.6433333333333335</v>
      </c>
      <c r="Q29" s="29">
        <v>0</v>
      </c>
      <c r="R29" s="47" t="s">
        <v>129</v>
      </c>
      <c r="S29" s="47">
        <v>4.6433333333333335</v>
      </c>
      <c r="T29" s="33">
        <f t="shared" si="4"/>
        <v>0</v>
      </c>
      <c r="U29" s="31" t="s">
        <v>119</v>
      </c>
      <c r="V29" s="44"/>
    </row>
    <row r="30" spans="1:22" s="34" customFormat="1" ht="63">
      <c r="A30" s="13" t="s">
        <v>49</v>
      </c>
      <c r="B30" s="16" t="s">
        <v>50</v>
      </c>
      <c r="C30" s="17" t="s">
        <v>51</v>
      </c>
      <c r="D30" s="40">
        <v>0.34190140845070427</v>
      </c>
      <c r="E30" s="28">
        <f>SUM(E31:E35)</f>
        <v>0</v>
      </c>
      <c r="F30" s="47" t="s">
        <v>129</v>
      </c>
      <c r="G30" s="42">
        <v>2.4275</v>
      </c>
      <c r="H30" s="37">
        <f>SUM(H31:H35)</f>
        <v>2.4275</v>
      </c>
      <c r="I30" s="30">
        <f t="shared" si="1"/>
        <v>2.837</v>
      </c>
      <c r="J30" s="33">
        <f>SUM(J31:J35)</f>
        <v>0</v>
      </c>
      <c r="K30" s="33">
        <f>SUM(K31:K35)</f>
        <v>0</v>
      </c>
      <c r="L30" s="28">
        <f aca="true" t="shared" si="5" ref="L30:Q30">SUM(L31:L35)</f>
        <v>0</v>
      </c>
      <c r="M30" s="28">
        <f t="shared" si="5"/>
        <v>0</v>
      </c>
      <c r="N30" s="28">
        <f t="shared" si="5"/>
        <v>2.4275</v>
      </c>
      <c r="O30" s="28">
        <f t="shared" si="5"/>
        <v>2.837</v>
      </c>
      <c r="P30" s="28">
        <f t="shared" si="5"/>
        <v>0</v>
      </c>
      <c r="Q30" s="28">
        <f t="shared" si="5"/>
        <v>0</v>
      </c>
      <c r="R30" s="47" t="s">
        <v>129</v>
      </c>
      <c r="S30" s="46">
        <v>2.4275</v>
      </c>
      <c r="T30" s="33">
        <f t="shared" si="4"/>
        <v>-0.4095</v>
      </c>
      <c r="U30" s="33" t="s">
        <v>119</v>
      </c>
      <c r="V30" s="44"/>
    </row>
    <row r="31" spans="1:22" s="2" customFormat="1" ht="33.75">
      <c r="A31" s="18" t="s">
        <v>52</v>
      </c>
      <c r="B31" s="19" t="s">
        <v>53</v>
      </c>
      <c r="C31" s="15"/>
      <c r="D31" s="41">
        <v>0.04154929577464789</v>
      </c>
      <c r="E31" s="29">
        <v>0</v>
      </c>
      <c r="F31" s="47" t="s">
        <v>129</v>
      </c>
      <c r="G31" s="43">
        <v>0.295</v>
      </c>
      <c r="H31" s="36">
        <f aca="true" t="shared" si="6" ref="H31:H43">J31+L31+N31+P31</f>
        <v>0.295</v>
      </c>
      <c r="I31" s="29">
        <f t="shared" si="1"/>
        <v>0.466</v>
      </c>
      <c r="J31" s="31">
        <v>0</v>
      </c>
      <c r="K31" s="31">
        <v>0</v>
      </c>
      <c r="L31" s="29">
        <v>0</v>
      </c>
      <c r="M31" s="29">
        <v>0</v>
      </c>
      <c r="N31" s="29">
        <f>0.354/1.2</f>
        <v>0.295</v>
      </c>
      <c r="O31" s="29">
        <v>0.466</v>
      </c>
      <c r="P31" s="29">
        <v>0</v>
      </c>
      <c r="Q31" s="29">
        <v>0</v>
      </c>
      <c r="R31" s="47" t="s">
        <v>129</v>
      </c>
      <c r="S31" s="47">
        <v>0.295</v>
      </c>
      <c r="T31" s="33">
        <f t="shared" si="4"/>
        <v>-0.17100000000000004</v>
      </c>
      <c r="U31" s="31" t="s">
        <v>119</v>
      </c>
      <c r="V31" s="44"/>
    </row>
    <row r="32" spans="1:22" s="2" customFormat="1" ht="56.25">
      <c r="A32" s="18" t="s">
        <v>54</v>
      </c>
      <c r="B32" s="19" t="s">
        <v>55</v>
      </c>
      <c r="C32" s="15"/>
      <c r="D32" s="41">
        <v>0.07500000000000001</v>
      </c>
      <c r="E32" s="29">
        <v>0</v>
      </c>
      <c r="F32" s="47" t="s">
        <v>129</v>
      </c>
      <c r="G32" s="43">
        <v>0.5325000000000001</v>
      </c>
      <c r="H32" s="36">
        <f t="shared" si="6"/>
        <v>0.5325000000000001</v>
      </c>
      <c r="I32" s="29">
        <f t="shared" si="1"/>
        <v>0.595</v>
      </c>
      <c r="J32" s="31">
        <v>0</v>
      </c>
      <c r="K32" s="31">
        <v>0</v>
      </c>
      <c r="L32" s="29">
        <v>0</v>
      </c>
      <c r="M32" s="29">
        <v>0</v>
      </c>
      <c r="N32" s="29">
        <f>0.639/1.2</f>
        <v>0.5325000000000001</v>
      </c>
      <c r="O32" s="29">
        <v>0.595</v>
      </c>
      <c r="P32" s="29">
        <v>0</v>
      </c>
      <c r="Q32" s="29">
        <v>0</v>
      </c>
      <c r="R32" s="47" t="s">
        <v>129</v>
      </c>
      <c r="S32" s="47">
        <v>0.5325000000000001</v>
      </c>
      <c r="T32" s="33">
        <f t="shared" si="4"/>
        <v>-0.06249999999999989</v>
      </c>
      <c r="U32" s="31" t="s">
        <v>119</v>
      </c>
      <c r="V32" s="44"/>
    </row>
    <row r="33" spans="1:22" s="2" customFormat="1" ht="56.25">
      <c r="A33" s="18" t="s">
        <v>56</v>
      </c>
      <c r="B33" s="19" t="s">
        <v>57</v>
      </c>
      <c r="C33" s="15"/>
      <c r="D33" s="41">
        <v>0.0965962441314554</v>
      </c>
      <c r="E33" s="29">
        <v>0</v>
      </c>
      <c r="F33" s="47" t="s">
        <v>129</v>
      </c>
      <c r="G33" s="43">
        <v>0.6858333333333333</v>
      </c>
      <c r="H33" s="36">
        <f t="shared" si="6"/>
        <v>0.6858333333333333</v>
      </c>
      <c r="I33" s="29">
        <f t="shared" si="1"/>
        <v>0.651</v>
      </c>
      <c r="J33" s="31">
        <v>0</v>
      </c>
      <c r="K33" s="31">
        <v>0</v>
      </c>
      <c r="L33" s="29">
        <v>0</v>
      </c>
      <c r="M33" s="29">
        <v>0</v>
      </c>
      <c r="N33" s="29">
        <f>0.823/1.2</f>
        <v>0.6858333333333333</v>
      </c>
      <c r="O33" s="29">
        <v>0.651</v>
      </c>
      <c r="P33" s="29">
        <v>0</v>
      </c>
      <c r="Q33" s="29">
        <v>0</v>
      </c>
      <c r="R33" s="47" t="s">
        <v>129</v>
      </c>
      <c r="S33" s="47">
        <v>0.6858333333333333</v>
      </c>
      <c r="T33" s="33">
        <f t="shared" si="4"/>
        <v>0.03483333333333327</v>
      </c>
      <c r="U33" s="31" t="s">
        <v>119</v>
      </c>
      <c r="V33" s="44"/>
    </row>
    <row r="34" spans="1:22" s="2" customFormat="1" ht="56.25">
      <c r="A34" s="18" t="s">
        <v>58</v>
      </c>
      <c r="B34" s="19" t="s">
        <v>59</v>
      </c>
      <c r="C34" s="15"/>
      <c r="D34" s="41">
        <v>0.090962441314554</v>
      </c>
      <c r="E34" s="29">
        <v>0</v>
      </c>
      <c r="F34" s="47" t="s">
        <v>129</v>
      </c>
      <c r="G34" s="43">
        <v>0.6458333333333334</v>
      </c>
      <c r="H34" s="36">
        <f t="shared" si="6"/>
        <v>0.6458333333333334</v>
      </c>
      <c r="I34" s="29">
        <f t="shared" si="1"/>
        <v>0.597</v>
      </c>
      <c r="J34" s="31">
        <v>0</v>
      </c>
      <c r="K34" s="31">
        <v>0</v>
      </c>
      <c r="L34" s="29">
        <v>0</v>
      </c>
      <c r="M34" s="29">
        <v>0</v>
      </c>
      <c r="N34" s="29">
        <f>0.775/1.2</f>
        <v>0.6458333333333334</v>
      </c>
      <c r="O34" s="29">
        <v>0.597</v>
      </c>
      <c r="P34" s="29">
        <v>0</v>
      </c>
      <c r="Q34" s="29">
        <v>0</v>
      </c>
      <c r="R34" s="47" t="s">
        <v>129</v>
      </c>
      <c r="S34" s="47">
        <v>0.6458333333333334</v>
      </c>
      <c r="T34" s="33">
        <f t="shared" si="4"/>
        <v>0.048833333333333395</v>
      </c>
      <c r="U34" s="31" t="s">
        <v>119</v>
      </c>
      <c r="V34" s="44"/>
    </row>
    <row r="35" spans="1:22" s="2" customFormat="1" ht="56.25">
      <c r="A35" s="18" t="s">
        <v>60</v>
      </c>
      <c r="B35" s="19" t="s">
        <v>120</v>
      </c>
      <c r="C35" s="15"/>
      <c r="D35" s="41">
        <v>0.03779342723004696</v>
      </c>
      <c r="E35" s="29">
        <v>0</v>
      </c>
      <c r="F35" s="47" t="s">
        <v>129</v>
      </c>
      <c r="G35" s="43">
        <v>0.26833333333333337</v>
      </c>
      <c r="H35" s="36">
        <f t="shared" si="6"/>
        <v>0.26833333333333337</v>
      </c>
      <c r="I35" s="29">
        <f t="shared" si="1"/>
        <v>0.528</v>
      </c>
      <c r="J35" s="31">
        <v>0</v>
      </c>
      <c r="K35" s="31">
        <v>0</v>
      </c>
      <c r="L35" s="29">
        <v>0</v>
      </c>
      <c r="M35" s="29">
        <v>0</v>
      </c>
      <c r="N35" s="29">
        <f>0.322/1.2</f>
        <v>0.26833333333333337</v>
      </c>
      <c r="O35" s="29">
        <v>0.528</v>
      </c>
      <c r="P35" s="29">
        <v>0</v>
      </c>
      <c r="Q35" s="29">
        <v>0</v>
      </c>
      <c r="R35" s="47" t="s">
        <v>129</v>
      </c>
      <c r="S35" s="47">
        <v>0.26833333333333337</v>
      </c>
      <c r="T35" s="33">
        <f t="shared" si="4"/>
        <v>-0.25966666666666666</v>
      </c>
      <c r="U35" s="31" t="s">
        <v>119</v>
      </c>
      <c r="V35" s="44"/>
    </row>
    <row r="36" spans="1:22" s="34" customFormat="1" ht="31.5">
      <c r="A36" s="13" t="s">
        <v>61</v>
      </c>
      <c r="B36" s="21" t="s">
        <v>62</v>
      </c>
      <c r="C36" s="17" t="s">
        <v>63</v>
      </c>
      <c r="D36" s="40">
        <v>3.4768128161888705</v>
      </c>
      <c r="E36" s="28">
        <f>SUM(E37:E43)</f>
        <v>0</v>
      </c>
      <c r="F36" s="47" t="s">
        <v>129</v>
      </c>
      <c r="G36" s="42">
        <v>20.6175</v>
      </c>
      <c r="H36" s="37">
        <f t="shared" si="6"/>
        <v>20.6175</v>
      </c>
      <c r="I36" s="30">
        <f t="shared" si="1"/>
        <v>48.157000000000004</v>
      </c>
      <c r="J36" s="33">
        <f aca="true" t="shared" si="7" ref="J36:Q36">SUM(J37:J43)</f>
        <v>0</v>
      </c>
      <c r="K36" s="33">
        <f t="shared" si="7"/>
        <v>0</v>
      </c>
      <c r="L36" s="28">
        <f t="shared" si="7"/>
        <v>0</v>
      </c>
      <c r="M36" s="28">
        <f t="shared" si="7"/>
        <v>0</v>
      </c>
      <c r="N36" s="40">
        <f t="shared" si="7"/>
        <v>20.6175</v>
      </c>
      <c r="O36" s="28">
        <f t="shared" si="7"/>
        <v>48.157000000000004</v>
      </c>
      <c r="P36" s="28">
        <f t="shared" si="7"/>
        <v>0</v>
      </c>
      <c r="Q36" s="28">
        <f t="shared" si="7"/>
        <v>0</v>
      </c>
      <c r="R36" s="47" t="s">
        <v>129</v>
      </c>
      <c r="S36" s="46">
        <v>20.6175</v>
      </c>
      <c r="T36" s="33">
        <f t="shared" si="4"/>
        <v>-27.539500000000004</v>
      </c>
      <c r="U36" s="33" t="s">
        <v>119</v>
      </c>
      <c r="V36" s="44"/>
    </row>
    <row r="37" spans="1:22" s="2" customFormat="1" ht="22.5">
      <c r="A37" s="18" t="s">
        <v>64</v>
      </c>
      <c r="B37" s="19" t="s">
        <v>65</v>
      </c>
      <c r="C37" s="15"/>
      <c r="D37" s="41">
        <v>0.8322091062394603</v>
      </c>
      <c r="E37" s="29">
        <v>0</v>
      </c>
      <c r="F37" s="47" t="s">
        <v>129</v>
      </c>
      <c r="G37" s="43">
        <v>4.935</v>
      </c>
      <c r="H37" s="36">
        <f t="shared" si="6"/>
        <v>4.935</v>
      </c>
      <c r="I37" s="29">
        <f t="shared" si="1"/>
        <v>12.433</v>
      </c>
      <c r="J37" s="31">
        <v>0</v>
      </c>
      <c r="K37" s="31">
        <v>0</v>
      </c>
      <c r="L37" s="29">
        <v>0</v>
      </c>
      <c r="M37" s="29">
        <v>0</v>
      </c>
      <c r="N37" s="29">
        <f>5.922/1.2</f>
        <v>4.935</v>
      </c>
      <c r="O37" s="29">
        <v>12.433</v>
      </c>
      <c r="P37" s="29">
        <v>0</v>
      </c>
      <c r="Q37" s="29">
        <v>0</v>
      </c>
      <c r="R37" s="47" t="s">
        <v>129</v>
      </c>
      <c r="S37" s="47">
        <v>4.935</v>
      </c>
      <c r="T37" s="33">
        <f t="shared" si="4"/>
        <v>-7.498</v>
      </c>
      <c r="U37" s="31" t="s">
        <v>119</v>
      </c>
      <c r="V37" s="44"/>
    </row>
    <row r="38" spans="1:22" s="2" customFormat="1" ht="22.5">
      <c r="A38" s="18" t="s">
        <v>66</v>
      </c>
      <c r="B38" s="19" t="s">
        <v>67</v>
      </c>
      <c r="C38" s="15"/>
      <c r="D38" s="41">
        <v>0.6958965711073638</v>
      </c>
      <c r="E38" s="29">
        <v>0</v>
      </c>
      <c r="F38" s="47" t="s">
        <v>129</v>
      </c>
      <c r="G38" s="43">
        <v>4.126666666666667</v>
      </c>
      <c r="H38" s="36">
        <f t="shared" si="6"/>
        <v>4.126666666666667</v>
      </c>
      <c r="I38" s="29">
        <f t="shared" si="1"/>
        <v>9.3</v>
      </c>
      <c r="J38" s="31">
        <v>0</v>
      </c>
      <c r="K38" s="31">
        <v>0</v>
      </c>
      <c r="L38" s="29">
        <v>0</v>
      </c>
      <c r="M38" s="29">
        <v>0</v>
      </c>
      <c r="N38" s="29">
        <f>4.952/1.2</f>
        <v>4.126666666666667</v>
      </c>
      <c r="O38" s="29">
        <v>9.3</v>
      </c>
      <c r="P38" s="29">
        <v>0</v>
      </c>
      <c r="Q38" s="29">
        <v>0</v>
      </c>
      <c r="R38" s="47" t="s">
        <v>129</v>
      </c>
      <c r="S38" s="47">
        <v>4.126666666666667</v>
      </c>
      <c r="T38" s="33">
        <f t="shared" si="4"/>
        <v>-5.173333333333334</v>
      </c>
      <c r="U38" s="31" t="s">
        <v>119</v>
      </c>
      <c r="V38" s="44"/>
    </row>
    <row r="39" spans="1:22" s="2" customFormat="1" ht="33.75">
      <c r="A39" s="18" t="s">
        <v>68</v>
      </c>
      <c r="B39" s="19" t="s">
        <v>69</v>
      </c>
      <c r="C39" s="15"/>
      <c r="D39" s="41">
        <v>0.295531197301855</v>
      </c>
      <c r="E39" s="29">
        <v>0</v>
      </c>
      <c r="F39" s="47" t="s">
        <v>129</v>
      </c>
      <c r="G39" s="43">
        <v>1.7525000000000002</v>
      </c>
      <c r="H39" s="36">
        <f t="shared" si="6"/>
        <v>1.7525000000000002</v>
      </c>
      <c r="I39" s="29">
        <f t="shared" si="1"/>
        <v>6.888</v>
      </c>
      <c r="J39" s="31">
        <v>0</v>
      </c>
      <c r="K39" s="31">
        <v>0</v>
      </c>
      <c r="L39" s="29">
        <v>0</v>
      </c>
      <c r="M39" s="29">
        <v>0</v>
      </c>
      <c r="N39" s="29">
        <f>2.103/1.2</f>
        <v>1.7525000000000002</v>
      </c>
      <c r="O39" s="29">
        <v>6.888</v>
      </c>
      <c r="P39" s="29">
        <v>0</v>
      </c>
      <c r="Q39" s="29">
        <v>0</v>
      </c>
      <c r="R39" s="47" t="s">
        <v>129</v>
      </c>
      <c r="S39" s="47">
        <v>1.7525000000000002</v>
      </c>
      <c r="T39" s="33">
        <f t="shared" si="4"/>
        <v>-5.1354999999999995</v>
      </c>
      <c r="U39" s="31" t="s">
        <v>119</v>
      </c>
      <c r="V39" s="44"/>
    </row>
    <row r="40" spans="1:22" s="2" customFormat="1" ht="33.75">
      <c r="A40" s="18" t="s">
        <v>70</v>
      </c>
      <c r="B40" s="19" t="s">
        <v>71</v>
      </c>
      <c r="C40" s="15"/>
      <c r="D40" s="41">
        <v>0.295531197301855</v>
      </c>
      <c r="E40" s="29">
        <v>0</v>
      </c>
      <c r="F40" s="47" t="s">
        <v>129</v>
      </c>
      <c r="G40" s="43">
        <v>1.7525000000000002</v>
      </c>
      <c r="H40" s="36">
        <f t="shared" si="6"/>
        <v>1.7525000000000002</v>
      </c>
      <c r="I40" s="29">
        <f t="shared" si="1"/>
        <v>4.252</v>
      </c>
      <c r="J40" s="31">
        <v>0</v>
      </c>
      <c r="K40" s="31">
        <v>0</v>
      </c>
      <c r="L40" s="29">
        <v>0</v>
      </c>
      <c r="M40" s="29">
        <v>0</v>
      </c>
      <c r="N40" s="29">
        <f>2.103/1.2</f>
        <v>1.7525000000000002</v>
      </c>
      <c r="O40" s="29">
        <v>4.252</v>
      </c>
      <c r="P40" s="29">
        <v>0</v>
      </c>
      <c r="Q40" s="29">
        <v>0</v>
      </c>
      <c r="R40" s="47" t="s">
        <v>129</v>
      </c>
      <c r="S40" s="47">
        <v>1.7525000000000002</v>
      </c>
      <c r="T40" s="33">
        <f t="shared" si="4"/>
        <v>-2.4994999999999994</v>
      </c>
      <c r="U40" s="31" t="s">
        <v>119</v>
      </c>
      <c r="V40" s="44"/>
    </row>
    <row r="41" spans="1:22" s="2" customFormat="1" ht="33.75">
      <c r="A41" s="18" t="s">
        <v>72</v>
      </c>
      <c r="B41" s="19" t="s">
        <v>73</v>
      </c>
      <c r="C41" s="15"/>
      <c r="D41" s="41">
        <v>0.5844575604272063</v>
      </c>
      <c r="E41" s="29">
        <v>0</v>
      </c>
      <c r="F41" s="47" t="s">
        <v>129</v>
      </c>
      <c r="G41" s="43">
        <v>3.4658333333333333</v>
      </c>
      <c r="H41" s="36">
        <f t="shared" si="6"/>
        <v>3.4658333333333333</v>
      </c>
      <c r="I41" s="29">
        <f t="shared" si="1"/>
        <v>8.337</v>
      </c>
      <c r="J41" s="31">
        <v>0</v>
      </c>
      <c r="K41" s="31">
        <v>0</v>
      </c>
      <c r="L41" s="29">
        <v>0</v>
      </c>
      <c r="M41" s="29">
        <v>0</v>
      </c>
      <c r="N41" s="29">
        <f>4.159/1.2</f>
        <v>3.4658333333333333</v>
      </c>
      <c r="O41" s="29">
        <v>8.337</v>
      </c>
      <c r="P41" s="29">
        <v>0</v>
      </c>
      <c r="Q41" s="29">
        <v>0</v>
      </c>
      <c r="R41" s="47" t="s">
        <v>129</v>
      </c>
      <c r="S41" s="47">
        <v>3.4658333333333333</v>
      </c>
      <c r="T41" s="33">
        <f t="shared" si="4"/>
        <v>-4.871166666666666</v>
      </c>
      <c r="U41" s="31" t="s">
        <v>119</v>
      </c>
      <c r="V41" s="44"/>
    </row>
    <row r="42" spans="1:22" s="2" customFormat="1" ht="33.75">
      <c r="A42" s="18" t="s">
        <v>74</v>
      </c>
      <c r="B42" s="19" t="s">
        <v>75</v>
      </c>
      <c r="C42" s="15"/>
      <c r="D42" s="41">
        <v>0.5989319842608206</v>
      </c>
      <c r="E42" s="29">
        <v>0</v>
      </c>
      <c r="F42" s="47" t="s">
        <v>129</v>
      </c>
      <c r="G42" s="43">
        <v>3.5516666666666663</v>
      </c>
      <c r="H42" s="36">
        <f t="shared" si="6"/>
        <v>3.5516666666666663</v>
      </c>
      <c r="I42" s="29">
        <f t="shared" si="1"/>
        <v>5.358</v>
      </c>
      <c r="J42" s="31">
        <v>0</v>
      </c>
      <c r="K42" s="31">
        <v>0</v>
      </c>
      <c r="L42" s="29">
        <v>0</v>
      </c>
      <c r="M42" s="29">
        <v>0</v>
      </c>
      <c r="N42" s="29">
        <f>4.262/1.2</f>
        <v>3.5516666666666663</v>
      </c>
      <c r="O42" s="29">
        <v>5.358</v>
      </c>
      <c r="P42" s="29">
        <v>0</v>
      </c>
      <c r="Q42" s="29">
        <v>0</v>
      </c>
      <c r="R42" s="47" t="s">
        <v>129</v>
      </c>
      <c r="S42" s="47">
        <v>3.5516666666666663</v>
      </c>
      <c r="T42" s="33">
        <f t="shared" si="4"/>
        <v>-1.8063333333333333</v>
      </c>
      <c r="U42" s="31" t="s">
        <v>119</v>
      </c>
      <c r="V42" s="44"/>
    </row>
    <row r="43" spans="1:22" s="2" customFormat="1" ht="22.5">
      <c r="A43" s="18" t="s">
        <v>76</v>
      </c>
      <c r="B43" s="19" t="s">
        <v>77</v>
      </c>
      <c r="C43" s="15"/>
      <c r="D43" s="41">
        <v>0.1742551995503092</v>
      </c>
      <c r="E43" s="29">
        <v>0</v>
      </c>
      <c r="F43" s="47" t="s">
        <v>129</v>
      </c>
      <c r="G43" s="43">
        <v>1.0333333333333334</v>
      </c>
      <c r="H43" s="36">
        <f t="shared" si="6"/>
        <v>1.0333333333333334</v>
      </c>
      <c r="I43" s="29">
        <f t="shared" si="1"/>
        <v>1.589</v>
      </c>
      <c r="J43" s="31">
        <v>0</v>
      </c>
      <c r="K43" s="31">
        <v>0</v>
      </c>
      <c r="L43" s="29">
        <v>0</v>
      </c>
      <c r="M43" s="29">
        <v>0</v>
      </c>
      <c r="N43" s="29">
        <f>1.24/1.2</f>
        <v>1.0333333333333334</v>
      </c>
      <c r="O43" s="29">
        <v>1.589</v>
      </c>
      <c r="P43" s="29">
        <v>0</v>
      </c>
      <c r="Q43" s="29">
        <v>0</v>
      </c>
      <c r="R43" s="47" t="s">
        <v>129</v>
      </c>
      <c r="S43" s="47">
        <v>1.0333333333333334</v>
      </c>
      <c r="T43" s="33">
        <f t="shared" si="4"/>
        <v>-0.5556666666666665</v>
      </c>
      <c r="U43" s="31" t="s">
        <v>119</v>
      </c>
      <c r="V43" s="44"/>
    </row>
    <row r="44" spans="1:22" s="34" customFormat="1" ht="42">
      <c r="A44" s="13" t="s">
        <v>78</v>
      </c>
      <c r="B44" s="22" t="s">
        <v>79</v>
      </c>
      <c r="C44" s="17" t="s">
        <v>80</v>
      </c>
      <c r="D44" s="40">
        <v>0.18122186928790496</v>
      </c>
      <c r="E44" s="28">
        <f>E45+E46</f>
        <v>0</v>
      </c>
      <c r="F44" s="47" t="s">
        <v>129</v>
      </c>
      <c r="G44" s="42">
        <v>0.8925000000000001</v>
      </c>
      <c r="H44" s="37">
        <f>SUM(H45:H46)</f>
        <v>0.8925000000000001</v>
      </c>
      <c r="I44" s="30">
        <f t="shared" si="1"/>
        <v>2.261793</v>
      </c>
      <c r="J44" s="33">
        <f>J45+J46</f>
        <v>0</v>
      </c>
      <c r="K44" s="33">
        <f>K45+K46</f>
        <v>0</v>
      </c>
      <c r="L44" s="28">
        <f aca="true" t="shared" si="8" ref="L44:Q44">L45+L46</f>
        <v>0</v>
      </c>
      <c r="M44" s="28">
        <f t="shared" si="8"/>
        <v>0.479793</v>
      </c>
      <c r="N44" s="28">
        <f t="shared" si="8"/>
        <v>0.8925000000000001</v>
      </c>
      <c r="O44" s="28">
        <f t="shared" si="8"/>
        <v>1.782</v>
      </c>
      <c r="P44" s="28">
        <f t="shared" si="8"/>
        <v>0</v>
      </c>
      <c r="Q44" s="28">
        <f t="shared" si="8"/>
        <v>0</v>
      </c>
      <c r="R44" s="47" t="s">
        <v>129</v>
      </c>
      <c r="S44" s="46">
        <v>0.8925000000000001</v>
      </c>
      <c r="T44" s="33">
        <f t="shared" si="4"/>
        <v>-0.8895</v>
      </c>
      <c r="U44" s="33" t="s">
        <v>119</v>
      </c>
      <c r="V44" s="44"/>
    </row>
    <row r="45" spans="1:22" s="2" customFormat="1" ht="22.5">
      <c r="A45" s="18" t="s">
        <v>81</v>
      </c>
      <c r="B45" s="19" t="s">
        <v>82</v>
      </c>
      <c r="C45" s="15"/>
      <c r="D45" s="41">
        <v>0.07532321528948849</v>
      </c>
      <c r="E45" s="29">
        <v>0</v>
      </c>
      <c r="F45" s="47" t="s">
        <v>129</v>
      </c>
      <c r="G45" s="43">
        <v>0.4466666666666667</v>
      </c>
      <c r="H45" s="36">
        <f>J45+L45+N45+P45</f>
        <v>0.4466666666666667</v>
      </c>
      <c r="I45" s="29">
        <f t="shared" si="1"/>
        <v>0.479793</v>
      </c>
      <c r="J45" s="31">
        <v>0</v>
      </c>
      <c r="K45" s="31">
        <v>0</v>
      </c>
      <c r="L45" s="29">
        <v>0</v>
      </c>
      <c r="M45" s="29">
        <v>0.479793</v>
      </c>
      <c r="N45" s="29">
        <f>0.536/1.2</f>
        <v>0.4466666666666667</v>
      </c>
      <c r="O45" s="29">
        <v>0</v>
      </c>
      <c r="P45" s="29">
        <v>0</v>
      </c>
      <c r="Q45" s="29">
        <v>0</v>
      </c>
      <c r="R45" s="47" t="s">
        <v>129</v>
      </c>
      <c r="S45" s="47">
        <f>H45-M45</f>
        <v>-0.03312633333333331</v>
      </c>
      <c r="T45" s="33">
        <f t="shared" si="4"/>
        <v>0.4466666666666667</v>
      </c>
      <c r="U45" s="31" t="s">
        <v>119</v>
      </c>
      <c r="V45" s="44"/>
    </row>
    <row r="46" spans="1:22" s="2" customFormat="1" ht="45">
      <c r="A46" s="18" t="s">
        <v>83</v>
      </c>
      <c r="B46" s="19" t="s">
        <v>84</v>
      </c>
      <c r="C46" s="15"/>
      <c r="D46" s="41">
        <v>0.10589865399841647</v>
      </c>
      <c r="E46" s="29">
        <v>0</v>
      </c>
      <c r="F46" s="47" t="s">
        <v>129</v>
      </c>
      <c r="G46" s="43">
        <v>0.44583333333333336</v>
      </c>
      <c r="H46" s="36">
        <f>J46+L46+N46+P46</f>
        <v>0.44583333333333336</v>
      </c>
      <c r="I46" s="29">
        <f t="shared" si="1"/>
        <v>1.782</v>
      </c>
      <c r="J46" s="31">
        <v>0</v>
      </c>
      <c r="K46" s="31">
        <v>0</v>
      </c>
      <c r="L46" s="29">
        <v>0</v>
      </c>
      <c r="M46" s="29">
        <v>0</v>
      </c>
      <c r="N46" s="29">
        <f>0.535/1.2</f>
        <v>0.44583333333333336</v>
      </c>
      <c r="O46" s="29">
        <v>1.782</v>
      </c>
      <c r="P46" s="29">
        <v>0</v>
      </c>
      <c r="Q46" s="29">
        <v>0</v>
      </c>
      <c r="R46" s="47" t="s">
        <v>129</v>
      </c>
      <c r="S46" s="47">
        <v>0.44583333333333336</v>
      </c>
      <c r="T46" s="33">
        <f t="shared" si="4"/>
        <v>-1.3361666666666667</v>
      </c>
      <c r="U46" s="31" t="s">
        <v>119</v>
      </c>
      <c r="V46" s="44"/>
    </row>
    <row r="47" spans="1:22" s="34" customFormat="1" ht="31.5">
      <c r="A47" s="23" t="s">
        <v>85</v>
      </c>
      <c r="B47" s="24" t="s">
        <v>86</v>
      </c>
      <c r="C47" s="17" t="s">
        <v>87</v>
      </c>
      <c r="D47" s="40">
        <v>0.49530516431924887</v>
      </c>
      <c r="E47" s="28">
        <f>SUM(E48:E52)</f>
        <v>0</v>
      </c>
      <c r="F47" s="47" t="s">
        <v>129</v>
      </c>
      <c r="G47" s="42">
        <v>3.5166666666666666</v>
      </c>
      <c r="H47" s="37">
        <f>SUM(H48:H52)</f>
        <v>3.5166666666666666</v>
      </c>
      <c r="I47" s="30">
        <f t="shared" si="1"/>
        <v>3.301</v>
      </c>
      <c r="J47" s="33">
        <f>SUM(J48:J52)</f>
        <v>0</v>
      </c>
      <c r="K47" s="33">
        <f>SUM(K48:K52)</f>
        <v>0</v>
      </c>
      <c r="L47" s="28">
        <f aca="true" t="shared" si="9" ref="L47:Q47">SUM(L48:L52)</f>
        <v>0</v>
      </c>
      <c r="M47" s="28">
        <f t="shared" si="9"/>
        <v>0</v>
      </c>
      <c r="N47" s="28">
        <f t="shared" si="9"/>
        <v>3.5166666666666666</v>
      </c>
      <c r="O47" s="28">
        <f t="shared" si="9"/>
        <v>3.301</v>
      </c>
      <c r="P47" s="28">
        <f t="shared" si="9"/>
        <v>0</v>
      </c>
      <c r="Q47" s="28">
        <f t="shared" si="9"/>
        <v>0</v>
      </c>
      <c r="R47" s="47" t="s">
        <v>129</v>
      </c>
      <c r="S47" s="46">
        <v>3.5166666666666666</v>
      </c>
      <c r="T47" s="33">
        <f t="shared" si="4"/>
        <v>0.21566666666666645</v>
      </c>
      <c r="U47" s="33" t="s">
        <v>119</v>
      </c>
      <c r="V47" s="44"/>
    </row>
    <row r="48" spans="1:22" s="2" customFormat="1" ht="22.5">
      <c r="A48" s="18" t="s">
        <v>88</v>
      </c>
      <c r="B48" s="19" t="s">
        <v>89</v>
      </c>
      <c r="C48" s="15"/>
      <c r="D48" s="41">
        <v>0.09906103286384978</v>
      </c>
      <c r="E48" s="29">
        <v>0</v>
      </c>
      <c r="F48" s="47" t="s">
        <v>129</v>
      </c>
      <c r="G48" s="43">
        <v>0.7033333333333334</v>
      </c>
      <c r="H48" s="36">
        <f>J48+L48+N48+P48</f>
        <v>0.7033333333333334</v>
      </c>
      <c r="I48" s="29">
        <f t="shared" si="1"/>
        <v>0.732</v>
      </c>
      <c r="J48" s="31">
        <v>0</v>
      </c>
      <c r="K48" s="31">
        <v>0</v>
      </c>
      <c r="L48" s="29">
        <v>0</v>
      </c>
      <c r="M48" s="29">
        <v>0</v>
      </c>
      <c r="N48" s="29">
        <f>0.844/1.2</f>
        <v>0.7033333333333334</v>
      </c>
      <c r="O48" s="29">
        <v>0.732</v>
      </c>
      <c r="P48" s="29">
        <v>0</v>
      </c>
      <c r="Q48" s="29">
        <v>0</v>
      </c>
      <c r="R48" s="47" t="s">
        <v>129</v>
      </c>
      <c r="S48" s="47">
        <v>0.7033333333333334</v>
      </c>
      <c r="T48" s="33">
        <f t="shared" si="4"/>
        <v>-0.028666666666666618</v>
      </c>
      <c r="U48" s="31" t="s">
        <v>119</v>
      </c>
      <c r="V48" s="44"/>
    </row>
    <row r="49" spans="1:22" s="2" customFormat="1" ht="22.5">
      <c r="A49" s="18" t="s">
        <v>90</v>
      </c>
      <c r="B49" s="19" t="s">
        <v>91</v>
      </c>
      <c r="C49" s="15"/>
      <c r="D49" s="41">
        <v>0.09906103286384978</v>
      </c>
      <c r="E49" s="29">
        <v>0</v>
      </c>
      <c r="F49" s="47" t="s">
        <v>129</v>
      </c>
      <c r="G49" s="43">
        <v>0.7033333333333334</v>
      </c>
      <c r="H49" s="36">
        <f>J49+L49+N49+P49</f>
        <v>0.7033333333333334</v>
      </c>
      <c r="I49" s="29">
        <f t="shared" si="1"/>
        <v>0.833</v>
      </c>
      <c r="J49" s="31">
        <v>0</v>
      </c>
      <c r="K49" s="31">
        <v>0</v>
      </c>
      <c r="L49" s="29">
        <v>0</v>
      </c>
      <c r="M49" s="29">
        <v>0</v>
      </c>
      <c r="N49" s="29">
        <f>0.844/1.2</f>
        <v>0.7033333333333334</v>
      </c>
      <c r="O49" s="29">
        <v>0.833</v>
      </c>
      <c r="P49" s="29">
        <v>0</v>
      </c>
      <c r="Q49" s="29">
        <v>0</v>
      </c>
      <c r="R49" s="47" t="s">
        <v>129</v>
      </c>
      <c r="S49" s="47">
        <v>0.7033333333333334</v>
      </c>
      <c r="T49" s="33">
        <f t="shared" si="4"/>
        <v>-0.1296666666666666</v>
      </c>
      <c r="U49" s="31" t="s">
        <v>119</v>
      </c>
      <c r="V49" s="44"/>
    </row>
    <row r="50" spans="1:22" s="2" customFormat="1" ht="22.5">
      <c r="A50" s="18" t="s">
        <v>92</v>
      </c>
      <c r="B50" s="19" t="s">
        <v>93</v>
      </c>
      <c r="C50" s="15"/>
      <c r="D50" s="41">
        <v>0.09906103286384978</v>
      </c>
      <c r="E50" s="29">
        <v>0</v>
      </c>
      <c r="F50" s="47" t="s">
        <v>129</v>
      </c>
      <c r="G50" s="43">
        <v>0.7033333333333334</v>
      </c>
      <c r="H50" s="36">
        <f>J50+L50+N50+P50</f>
        <v>0.7033333333333334</v>
      </c>
      <c r="I50" s="29">
        <f t="shared" si="1"/>
        <v>0.808</v>
      </c>
      <c r="J50" s="31">
        <v>0</v>
      </c>
      <c r="K50" s="31">
        <v>0</v>
      </c>
      <c r="L50" s="29">
        <v>0</v>
      </c>
      <c r="M50" s="29">
        <v>0</v>
      </c>
      <c r="N50" s="29">
        <f>0.844/1.2</f>
        <v>0.7033333333333334</v>
      </c>
      <c r="O50" s="29">
        <v>0.808</v>
      </c>
      <c r="P50" s="29">
        <v>0</v>
      </c>
      <c r="Q50" s="29">
        <v>0</v>
      </c>
      <c r="R50" s="47" t="s">
        <v>129</v>
      </c>
      <c r="S50" s="47">
        <v>0.7033333333333334</v>
      </c>
      <c r="T50" s="33">
        <f t="shared" si="4"/>
        <v>-0.10466666666666669</v>
      </c>
      <c r="U50" s="31" t="s">
        <v>119</v>
      </c>
      <c r="V50" s="44"/>
    </row>
    <row r="51" spans="1:22" s="2" customFormat="1" ht="22.5">
      <c r="A51" s="18" t="s">
        <v>94</v>
      </c>
      <c r="B51" s="19" t="s">
        <v>95</v>
      </c>
      <c r="C51" s="15"/>
      <c r="D51" s="41">
        <v>0.09906103286384978</v>
      </c>
      <c r="E51" s="29">
        <v>0</v>
      </c>
      <c r="F51" s="47" t="s">
        <v>129</v>
      </c>
      <c r="G51" s="43">
        <v>0.7033333333333334</v>
      </c>
      <c r="H51" s="36">
        <f>J51+L51+N51+P51</f>
        <v>0.7033333333333334</v>
      </c>
      <c r="I51" s="29">
        <f t="shared" si="1"/>
        <v>0</v>
      </c>
      <c r="J51" s="31">
        <v>0</v>
      </c>
      <c r="K51" s="31">
        <v>0</v>
      </c>
      <c r="L51" s="29">
        <v>0</v>
      </c>
      <c r="M51" s="29">
        <v>0</v>
      </c>
      <c r="N51" s="29">
        <f>0.844/1.2</f>
        <v>0.7033333333333334</v>
      </c>
      <c r="O51" s="29">
        <v>0</v>
      </c>
      <c r="P51" s="29">
        <v>0</v>
      </c>
      <c r="Q51" s="29">
        <v>0</v>
      </c>
      <c r="R51" s="47" t="s">
        <v>129</v>
      </c>
      <c r="S51" s="47">
        <v>0.7033333333333334</v>
      </c>
      <c r="T51" s="33">
        <f t="shared" si="4"/>
        <v>0.7033333333333334</v>
      </c>
      <c r="U51" s="31" t="s">
        <v>119</v>
      </c>
      <c r="V51" s="44"/>
    </row>
    <row r="52" spans="1:22" s="2" customFormat="1" ht="22.5">
      <c r="A52" s="18" t="s">
        <v>96</v>
      </c>
      <c r="B52" s="19" t="s">
        <v>97</v>
      </c>
      <c r="C52" s="15"/>
      <c r="D52" s="41">
        <v>0.09906103286384978</v>
      </c>
      <c r="E52" s="29">
        <v>0</v>
      </c>
      <c r="F52" s="47" t="s">
        <v>129</v>
      </c>
      <c r="G52" s="43">
        <v>0.7033333333333334</v>
      </c>
      <c r="H52" s="36">
        <f>J52+L52+N52+P52</f>
        <v>0.7033333333333334</v>
      </c>
      <c r="I52" s="29">
        <f t="shared" si="1"/>
        <v>0.928</v>
      </c>
      <c r="J52" s="31">
        <v>0</v>
      </c>
      <c r="K52" s="31">
        <v>0</v>
      </c>
      <c r="L52" s="29">
        <v>0</v>
      </c>
      <c r="M52" s="29">
        <v>0</v>
      </c>
      <c r="N52" s="29">
        <f>0.844/1.2</f>
        <v>0.7033333333333334</v>
      </c>
      <c r="O52" s="29">
        <v>0.928</v>
      </c>
      <c r="P52" s="29">
        <v>0</v>
      </c>
      <c r="Q52" s="29">
        <v>0</v>
      </c>
      <c r="R52" s="47" t="s">
        <v>129</v>
      </c>
      <c r="S52" s="47">
        <v>0.7033333333333334</v>
      </c>
      <c r="T52" s="33">
        <f t="shared" si="4"/>
        <v>-0.22466666666666668</v>
      </c>
      <c r="U52" s="31" t="s">
        <v>119</v>
      </c>
      <c r="V52" s="44"/>
    </row>
    <row r="53" spans="1:22" s="34" customFormat="1" ht="21">
      <c r="A53" s="13" t="s">
        <v>98</v>
      </c>
      <c r="B53" s="14" t="s">
        <v>99</v>
      </c>
      <c r="C53" s="17" t="s">
        <v>100</v>
      </c>
      <c r="D53" s="40">
        <v>22.427151120751986</v>
      </c>
      <c r="E53" s="28">
        <f>E54</f>
        <v>0</v>
      </c>
      <c r="F53" s="47" t="s">
        <v>129</v>
      </c>
      <c r="G53" s="42">
        <v>103.38916666666667</v>
      </c>
      <c r="H53" s="37">
        <f>H54</f>
        <v>103.38916666666667</v>
      </c>
      <c r="I53" s="30">
        <f t="shared" si="1"/>
        <v>104.502</v>
      </c>
      <c r="J53" s="33">
        <f>J54</f>
        <v>69.3275</v>
      </c>
      <c r="K53" s="33">
        <f>K54</f>
        <v>0</v>
      </c>
      <c r="L53" s="28">
        <f aca="true" t="shared" si="10" ref="L53:Q54">L54</f>
        <v>34.06166666666667</v>
      </c>
      <c r="M53" s="28">
        <f t="shared" si="10"/>
        <v>0</v>
      </c>
      <c r="N53" s="28">
        <f t="shared" si="10"/>
        <v>0</v>
      </c>
      <c r="O53" s="28">
        <f t="shared" si="10"/>
        <v>104.502</v>
      </c>
      <c r="P53" s="28">
        <f t="shared" si="10"/>
        <v>0</v>
      </c>
      <c r="Q53" s="28">
        <f t="shared" si="10"/>
        <v>0</v>
      </c>
      <c r="R53" s="47" t="s">
        <v>129</v>
      </c>
      <c r="S53" s="46">
        <v>34.06166666666667</v>
      </c>
      <c r="T53" s="33">
        <f t="shared" si="4"/>
        <v>-104.502</v>
      </c>
      <c r="U53" s="33" t="s">
        <v>119</v>
      </c>
      <c r="V53" s="44"/>
    </row>
    <row r="54" spans="1:22" s="34" customFormat="1" ht="31.5">
      <c r="A54" s="13" t="s">
        <v>101</v>
      </c>
      <c r="B54" s="16" t="s">
        <v>102</v>
      </c>
      <c r="C54" s="17" t="s">
        <v>103</v>
      </c>
      <c r="D54" s="40">
        <v>22.427151120751986</v>
      </c>
      <c r="E54" s="28">
        <f>E55</f>
        <v>0</v>
      </c>
      <c r="F54" s="47" t="s">
        <v>129</v>
      </c>
      <c r="G54" s="42">
        <v>103.38916666666667</v>
      </c>
      <c r="H54" s="37">
        <f>H55</f>
        <v>103.38916666666667</v>
      </c>
      <c r="I54" s="30">
        <f t="shared" si="1"/>
        <v>104.502</v>
      </c>
      <c r="J54" s="33">
        <f>J55</f>
        <v>69.3275</v>
      </c>
      <c r="K54" s="33">
        <f>K55</f>
        <v>0</v>
      </c>
      <c r="L54" s="28">
        <f t="shared" si="10"/>
        <v>34.06166666666667</v>
      </c>
      <c r="M54" s="28">
        <f t="shared" si="10"/>
        <v>0</v>
      </c>
      <c r="N54" s="28">
        <f t="shared" si="10"/>
        <v>0</v>
      </c>
      <c r="O54" s="28">
        <f t="shared" si="10"/>
        <v>104.502</v>
      </c>
      <c r="P54" s="28">
        <f t="shared" si="10"/>
        <v>0</v>
      </c>
      <c r="Q54" s="28">
        <f t="shared" si="10"/>
        <v>0</v>
      </c>
      <c r="R54" s="47" t="s">
        <v>129</v>
      </c>
      <c r="S54" s="46">
        <v>34.06166666666667</v>
      </c>
      <c r="T54" s="33">
        <f t="shared" si="4"/>
        <v>-104.502</v>
      </c>
      <c r="U54" s="33" t="s">
        <v>119</v>
      </c>
      <c r="V54" s="44"/>
    </row>
    <row r="55" spans="1:22" s="2" customFormat="1" ht="67.5">
      <c r="A55" s="18" t="s">
        <v>104</v>
      </c>
      <c r="B55" s="25" t="s">
        <v>105</v>
      </c>
      <c r="C55" s="15"/>
      <c r="D55" s="41">
        <v>22.427151120751986</v>
      </c>
      <c r="E55" s="29">
        <v>0</v>
      </c>
      <c r="F55" s="47" t="s">
        <v>129</v>
      </c>
      <c r="G55" s="43">
        <v>103.38916666666667</v>
      </c>
      <c r="H55" s="36">
        <f>J55+L55+N55+P55</f>
        <v>103.38916666666667</v>
      </c>
      <c r="I55" s="29">
        <f t="shared" si="1"/>
        <v>104.502</v>
      </c>
      <c r="J55" s="31">
        <f>83.193/1.2</f>
        <v>69.3275</v>
      </c>
      <c r="K55" s="31">
        <v>0</v>
      </c>
      <c r="L55" s="29">
        <f>40.874/1.2</f>
        <v>34.06166666666667</v>
      </c>
      <c r="M55" s="29">
        <v>0</v>
      </c>
      <c r="N55" s="29">
        <v>0</v>
      </c>
      <c r="O55" s="29">
        <v>104.502</v>
      </c>
      <c r="P55" s="29">
        <v>0</v>
      </c>
      <c r="Q55" s="29">
        <v>0</v>
      </c>
      <c r="R55" s="47" t="s">
        <v>129</v>
      </c>
      <c r="S55" s="47">
        <f>G55-I55</f>
        <v>-1.1128333333333273</v>
      </c>
      <c r="T55" s="33">
        <f t="shared" si="4"/>
        <v>-104.502</v>
      </c>
      <c r="U55" s="31" t="s">
        <v>119</v>
      </c>
      <c r="V55" s="44"/>
    </row>
    <row r="56" spans="1:22" s="34" customFormat="1" ht="11.25">
      <c r="A56" s="13" t="s">
        <v>106</v>
      </c>
      <c r="B56" s="26" t="s">
        <v>107</v>
      </c>
      <c r="C56" s="17"/>
      <c r="D56" s="40">
        <v>19.759126984126986</v>
      </c>
      <c r="E56" s="28">
        <f>E57</f>
        <v>0</v>
      </c>
      <c r="F56" s="47" t="s">
        <v>129</v>
      </c>
      <c r="G56" s="42">
        <v>124.48250000000002</v>
      </c>
      <c r="H56" s="37">
        <f>H57</f>
        <v>124.48250000000002</v>
      </c>
      <c r="I56" s="30">
        <f t="shared" si="1"/>
        <v>62.23175833333333</v>
      </c>
      <c r="J56" s="33">
        <f>J57</f>
        <v>38.983333333333334</v>
      </c>
      <c r="K56" s="33">
        <f>K57</f>
        <v>38.983333333333334</v>
      </c>
      <c r="L56" s="28">
        <f aca="true" t="shared" si="11" ref="L56:Q57">L57</f>
        <v>16.809166666666666</v>
      </c>
      <c r="M56" s="28">
        <f t="shared" si="11"/>
        <v>14.445425</v>
      </c>
      <c r="N56" s="28">
        <f t="shared" si="11"/>
        <v>34.859166666666674</v>
      </c>
      <c r="O56" s="28">
        <f t="shared" si="11"/>
        <v>8.803</v>
      </c>
      <c r="P56" s="28">
        <f t="shared" si="11"/>
        <v>33.83083333333334</v>
      </c>
      <c r="Q56" s="28">
        <f t="shared" si="11"/>
        <v>0</v>
      </c>
      <c r="R56" s="47" t="s">
        <v>129</v>
      </c>
      <c r="S56" s="46">
        <v>85.49887212000002</v>
      </c>
      <c r="T56" s="33">
        <f t="shared" si="4"/>
        <v>26.056166666666673</v>
      </c>
      <c r="U56" s="33" t="str">
        <f>U57</f>
        <v>-</v>
      </c>
      <c r="V56" s="44"/>
    </row>
    <row r="57" spans="1:22" s="34" customFormat="1" ht="11.25">
      <c r="A57" s="13" t="s">
        <v>108</v>
      </c>
      <c r="B57" s="27" t="s">
        <v>109</v>
      </c>
      <c r="C57" s="17" t="s">
        <v>110</v>
      </c>
      <c r="D57" s="40">
        <v>19.759126984126986</v>
      </c>
      <c r="E57" s="28">
        <f>E58</f>
        <v>0</v>
      </c>
      <c r="F57" s="47" t="s">
        <v>129</v>
      </c>
      <c r="G57" s="42">
        <v>124.48250000000002</v>
      </c>
      <c r="H57" s="37">
        <f>H58</f>
        <v>124.48250000000002</v>
      </c>
      <c r="I57" s="30">
        <f t="shared" si="1"/>
        <v>62.23175833333333</v>
      </c>
      <c r="J57" s="33">
        <f>J58</f>
        <v>38.983333333333334</v>
      </c>
      <c r="K57" s="33">
        <f>K58</f>
        <v>38.983333333333334</v>
      </c>
      <c r="L57" s="28">
        <f t="shared" si="11"/>
        <v>16.809166666666666</v>
      </c>
      <c r="M57" s="28">
        <f t="shared" si="11"/>
        <v>14.445425</v>
      </c>
      <c r="N57" s="28">
        <f t="shared" si="11"/>
        <v>34.859166666666674</v>
      </c>
      <c r="O57" s="28">
        <f t="shared" si="11"/>
        <v>8.803</v>
      </c>
      <c r="P57" s="28">
        <f t="shared" si="11"/>
        <v>33.83083333333334</v>
      </c>
      <c r="Q57" s="28">
        <f t="shared" si="11"/>
        <v>0</v>
      </c>
      <c r="R57" s="47" t="s">
        <v>129</v>
      </c>
      <c r="S57" s="46">
        <v>85.49887212000002</v>
      </c>
      <c r="T57" s="33">
        <f t="shared" si="4"/>
        <v>26.056166666666673</v>
      </c>
      <c r="U57" s="33" t="str">
        <f>U58</f>
        <v>-</v>
      </c>
      <c r="V57" s="44"/>
    </row>
    <row r="58" spans="1:22" s="2" customFormat="1" ht="22.5">
      <c r="A58" s="18" t="s">
        <v>111</v>
      </c>
      <c r="B58" s="25" t="s">
        <v>112</v>
      </c>
      <c r="C58" s="15" t="s">
        <v>113</v>
      </c>
      <c r="D58" s="41">
        <v>19.759126984126986</v>
      </c>
      <c r="E58" s="29">
        <v>0</v>
      </c>
      <c r="F58" s="47" t="s">
        <v>129</v>
      </c>
      <c r="G58" s="43">
        <v>124.48250000000002</v>
      </c>
      <c r="H58" s="36">
        <f>J58+L58+N58+P58</f>
        <v>124.48250000000002</v>
      </c>
      <c r="I58" s="29">
        <f t="shared" si="1"/>
        <v>62.23175833333333</v>
      </c>
      <c r="J58" s="31">
        <f>46.78/1.2</f>
        <v>38.983333333333334</v>
      </c>
      <c r="K58" s="31">
        <f>46.78/1.2</f>
        <v>38.983333333333334</v>
      </c>
      <c r="L58" s="29">
        <f>20.171/1.2</f>
        <v>16.809166666666666</v>
      </c>
      <c r="M58" s="29">
        <v>14.445425</v>
      </c>
      <c r="N58" s="29">
        <f>41.831/1.2</f>
        <v>34.859166666666674</v>
      </c>
      <c r="O58" s="29">
        <v>8.803</v>
      </c>
      <c r="P58" s="29">
        <f>40.597/1.2</f>
        <v>33.83083333333334</v>
      </c>
      <c r="Q58" s="29">
        <v>0</v>
      </c>
      <c r="R58" s="47" t="s">
        <v>129</v>
      </c>
      <c r="S58" s="47">
        <f>G58-I58</f>
        <v>62.250741666666684</v>
      </c>
      <c r="T58" s="33">
        <f>N58-O58</f>
        <v>26.056166666666673</v>
      </c>
      <c r="U58" s="31" t="s">
        <v>119</v>
      </c>
      <c r="V58" s="44"/>
    </row>
    <row r="59" spans="1:22" s="34" customFormat="1" ht="11.25">
      <c r="A59" s="13" t="s">
        <v>114</v>
      </c>
      <c r="B59" s="21" t="s">
        <v>115</v>
      </c>
      <c r="C59" s="17" t="s">
        <v>87</v>
      </c>
      <c r="D59" s="32" t="s">
        <v>119</v>
      </c>
      <c r="E59" s="28">
        <f>E60</f>
        <v>0</v>
      </c>
      <c r="F59" s="47" t="s">
        <v>129</v>
      </c>
      <c r="G59" s="42" t="s">
        <v>119</v>
      </c>
      <c r="H59" s="37">
        <f>H60</f>
        <v>20.774166666666666</v>
      </c>
      <c r="I59" s="30">
        <f t="shared" si="1"/>
        <v>0</v>
      </c>
      <c r="J59" s="33">
        <f>J60</f>
        <v>0</v>
      </c>
      <c r="K59" s="33">
        <f>K60</f>
        <v>0</v>
      </c>
      <c r="L59" s="28">
        <f aca="true" t="shared" si="12" ref="L59:Q59">L60</f>
        <v>6.924166666666666</v>
      </c>
      <c r="M59" s="28">
        <f t="shared" si="12"/>
        <v>0</v>
      </c>
      <c r="N59" s="28">
        <f t="shared" si="12"/>
        <v>6.924166666666666</v>
      </c>
      <c r="O59" s="28">
        <f t="shared" si="12"/>
        <v>0</v>
      </c>
      <c r="P59" s="28">
        <f t="shared" si="12"/>
        <v>6.925833333333333</v>
      </c>
      <c r="Q59" s="28">
        <f t="shared" si="12"/>
        <v>0</v>
      </c>
      <c r="R59" s="47" t="s">
        <v>129</v>
      </c>
      <c r="S59" s="46" t="s">
        <v>119</v>
      </c>
      <c r="T59" s="33">
        <f t="shared" si="4"/>
        <v>6.924166666666666</v>
      </c>
      <c r="U59" s="33" t="s">
        <v>119</v>
      </c>
      <c r="V59" s="32"/>
    </row>
    <row r="60" spans="1:22" s="2" customFormat="1" ht="34.5" customHeight="1">
      <c r="A60" s="18" t="s">
        <v>116</v>
      </c>
      <c r="B60" s="19" t="s">
        <v>117</v>
      </c>
      <c r="C60" s="15"/>
      <c r="D60" s="8" t="s">
        <v>119</v>
      </c>
      <c r="E60" s="29">
        <v>0</v>
      </c>
      <c r="F60" s="47" t="s">
        <v>129</v>
      </c>
      <c r="G60" s="43" t="s">
        <v>119</v>
      </c>
      <c r="H60" s="38">
        <f>J60+L60+N60+P60</f>
        <v>20.774166666666666</v>
      </c>
      <c r="I60" s="29">
        <f t="shared" si="1"/>
        <v>0</v>
      </c>
      <c r="J60" s="31">
        <v>0</v>
      </c>
      <c r="K60" s="31">
        <v>0</v>
      </c>
      <c r="L60" s="29">
        <f>8.309/1.2</f>
        <v>6.924166666666666</v>
      </c>
      <c r="M60" s="29">
        <v>0</v>
      </c>
      <c r="N60" s="29">
        <f>8.309/1.2</f>
        <v>6.924166666666666</v>
      </c>
      <c r="O60" s="29">
        <v>0</v>
      </c>
      <c r="P60" s="29">
        <f>8.311/1.2</f>
        <v>6.925833333333333</v>
      </c>
      <c r="Q60" s="29">
        <v>0</v>
      </c>
      <c r="R60" s="47" t="s">
        <v>129</v>
      </c>
      <c r="S60" s="47" t="s">
        <v>119</v>
      </c>
      <c r="T60" s="33">
        <f t="shared" si="4"/>
        <v>6.924166666666666</v>
      </c>
      <c r="U60" s="31" t="s">
        <v>119</v>
      </c>
      <c r="V60" s="8"/>
    </row>
    <row r="61" spans="1:22" s="2" customFormat="1" ht="29.25" customHeight="1">
      <c r="A61" s="54"/>
      <c r="B61" s="88" t="s">
        <v>128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 s="2" customFormat="1" ht="11.25">
      <c r="A62" s="54"/>
      <c r="B62" s="55"/>
      <c r="C62" s="52"/>
      <c r="D62" s="56"/>
      <c r="E62" s="57"/>
      <c r="F62" s="58"/>
      <c r="G62" s="58"/>
      <c r="H62" s="59"/>
      <c r="I62" s="57"/>
      <c r="J62" s="60"/>
      <c r="K62" s="60"/>
      <c r="L62" s="57"/>
      <c r="M62" s="57"/>
      <c r="N62" s="57"/>
      <c r="O62" s="57"/>
      <c r="P62" s="57"/>
      <c r="Q62" s="57"/>
      <c r="R62" s="61"/>
      <c r="S62" s="61"/>
      <c r="T62" s="62"/>
      <c r="U62" s="60"/>
      <c r="V62" s="56"/>
    </row>
  </sheetData>
  <sheetProtection/>
  <mergeCells count="32">
    <mergeCell ref="T19:U20"/>
    <mergeCell ref="B61:V61"/>
    <mergeCell ref="T2:V2"/>
    <mergeCell ref="R19:S19"/>
    <mergeCell ref="V19:V21"/>
    <mergeCell ref="R20:R21"/>
    <mergeCell ref="S20:S21"/>
    <mergeCell ref="H19:Q19"/>
    <mergeCell ref="R17:T17"/>
    <mergeCell ref="H12:Q12"/>
    <mergeCell ref="A3:V3"/>
    <mergeCell ref="G6:P6"/>
    <mergeCell ref="A23:B23"/>
    <mergeCell ref="F19:G19"/>
    <mergeCell ref="F20:F21"/>
    <mergeCell ref="G20:G21"/>
    <mergeCell ref="A19:A21"/>
    <mergeCell ref="N20:O20"/>
    <mergeCell ref="B19:B21"/>
    <mergeCell ref="H20:I20"/>
    <mergeCell ref="J20:K20"/>
    <mergeCell ref="D19:D21"/>
    <mergeCell ref="P20:Q20"/>
    <mergeCell ref="K4:L4"/>
    <mergeCell ref="C19:C21"/>
    <mergeCell ref="R13:V13"/>
    <mergeCell ref="T14:V14"/>
    <mergeCell ref="L20:M20"/>
    <mergeCell ref="E19:E21"/>
    <mergeCell ref="G7:P7"/>
    <mergeCell ref="H11:Q11"/>
    <mergeCell ref="H4:I4"/>
  </mergeCells>
  <printOptions/>
  <pageMargins left="0.3937007874015748" right="0.3937007874015748" top="0.3937007874015748" bottom="0.1968503937007874" header="0" footer="0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2019-11-12T05:31:09Z</cp:lastPrinted>
  <dcterms:created xsi:type="dcterms:W3CDTF">2011-01-11T10:25:48Z</dcterms:created>
  <dcterms:modified xsi:type="dcterms:W3CDTF">2019-11-12T05:32:34Z</dcterms:modified>
  <cp:category/>
  <cp:version/>
  <cp:contentType/>
  <cp:contentStatus/>
</cp:coreProperties>
</file>